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0475" windowHeight="9840"/>
  </bookViews>
  <sheets>
    <sheet name="Sheet2" sheetId="2" r:id="rId1"/>
    <sheet name="Sheet1" sheetId="4" r:id="rId2"/>
    <sheet name="Sheet3" sheetId="3" r:id="rId3"/>
  </sheets>
  <calcPr calcId="145621"/>
</workbook>
</file>

<file path=xl/calcChain.xml><?xml version="1.0" encoding="utf-8"?>
<calcChain xmlns="http://schemas.openxmlformats.org/spreadsheetml/2006/main">
  <c r="B27" i="2" l="1"/>
  <c r="C31" i="2"/>
  <c r="F31" i="2" s="1"/>
  <c r="D31" i="2"/>
  <c r="E31" i="2"/>
  <c r="G31" i="2"/>
  <c r="I31" i="2"/>
  <c r="C32" i="2"/>
  <c r="D32" i="2"/>
  <c r="E32" i="2" s="1"/>
  <c r="F32" i="2"/>
  <c r="G32" i="2"/>
  <c r="H32" i="2"/>
  <c r="C33" i="2"/>
  <c r="F33" i="2" s="1"/>
  <c r="D33" i="2"/>
  <c r="E33" i="2"/>
  <c r="G33" i="2"/>
  <c r="I33" i="2"/>
  <c r="C34" i="2"/>
  <c r="D34" i="2"/>
  <c r="E34" i="2" s="1"/>
  <c r="F34" i="2"/>
  <c r="G34" i="2"/>
  <c r="H34" i="2"/>
  <c r="C35" i="2"/>
  <c r="F35" i="2" s="1"/>
  <c r="D35" i="2"/>
  <c r="E35" i="2"/>
  <c r="G35" i="2"/>
  <c r="I35" i="2"/>
  <c r="H35" i="2" l="1"/>
  <c r="B35" i="2" s="1"/>
  <c r="I34" i="2"/>
  <c r="J34" i="2" s="1"/>
  <c r="H33" i="2"/>
  <c r="B33" i="2" s="1"/>
  <c r="I32" i="2"/>
  <c r="J32" i="2" s="1"/>
  <c r="H31" i="2"/>
  <c r="B31" i="2" s="1"/>
  <c r="D3" i="2"/>
  <c r="J31" i="2" l="1"/>
  <c r="J33" i="2"/>
  <c r="B32" i="2"/>
  <c r="J35" i="2"/>
  <c r="B34" i="2"/>
  <c r="D16" i="2"/>
  <c r="I16" i="2" s="1"/>
  <c r="D15" i="2"/>
  <c r="I15" i="2" s="1"/>
  <c r="D29" i="2"/>
  <c r="I29" i="2" s="1"/>
  <c r="D27" i="2"/>
  <c r="I27" i="2" s="1"/>
  <c r="D25" i="2"/>
  <c r="I25" i="2" s="1"/>
  <c r="D23" i="2"/>
  <c r="I23" i="2" s="1"/>
  <c r="D21" i="2"/>
  <c r="I21" i="2" s="1"/>
  <c r="D19" i="2"/>
  <c r="I19" i="2" s="1"/>
  <c r="D17" i="2"/>
  <c r="I17" i="2" s="1"/>
  <c r="D30" i="2"/>
  <c r="I30" i="2" s="1"/>
  <c r="D28" i="2"/>
  <c r="I28" i="2" s="1"/>
  <c r="D26" i="2"/>
  <c r="I26" i="2" s="1"/>
  <c r="D24" i="2"/>
  <c r="I24" i="2" s="1"/>
  <c r="D22" i="2"/>
  <c r="I22" i="2" s="1"/>
  <c r="D20" i="2"/>
  <c r="I20" i="2" s="1"/>
  <c r="D18" i="2"/>
  <c r="I18" i="2" s="1"/>
  <c r="C15" i="2"/>
  <c r="C29" i="2"/>
  <c r="C27" i="2"/>
  <c r="C25" i="2"/>
  <c r="C23" i="2"/>
  <c r="C21" i="2"/>
  <c r="C19" i="2"/>
  <c r="C17" i="2"/>
  <c r="C30" i="2"/>
  <c r="C28" i="2"/>
  <c r="C26" i="2"/>
  <c r="C24" i="2"/>
  <c r="C22" i="2"/>
  <c r="C20" i="2"/>
  <c r="C18" i="2"/>
  <c r="C16" i="2"/>
  <c r="G16" i="2" l="1"/>
  <c r="H16" i="2"/>
  <c r="G20" i="2"/>
  <c r="H20" i="2"/>
  <c r="G24" i="2"/>
  <c r="H24" i="2"/>
  <c r="G28" i="2"/>
  <c r="H28" i="2"/>
  <c r="H17" i="2"/>
  <c r="G17" i="2"/>
  <c r="H21" i="2"/>
  <c r="G21" i="2"/>
  <c r="H25" i="2"/>
  <c r="G25" i="2"/>
  <c r="H29" i="2"/>
  <c r="G29" i="2"/>
  <c r="G18" i="2"/>
  <c r="H18" i="2"/>
  <c r="G22" i="2"/>
  <c r="H22" i="2"/>
  <c r="G26" i="2"/>
  <c r="H26" i="2"/>
  <c r="G30" i="2"/>
  <c r="H30" i="2"/>
  <c r="H19" i="2"/>
  <c r="G19" i="2"/>
  <c r="H23" i="2"/>
  <c r="G23" i="2"/>
  <c r="H27" i="2"/>
  <c r="G27" i="2"/>
  <c r="H15" i="2"/>
  <c r="G15" i="2"/>
  <c r="K16" i="2"/>
  <c r="L45" i="2" l="1"/>
  <c r="B9" i="2"/>
  <c r="M12" i="2"/>
  <c r="E16" i="2" l="1"/>
  <c r="E18" i="2"/>
  <c r="E20" i="2"/>
  <c r="E22" i="2"/>
  <c r="E24" i="2"/>
  <c r="E26" i="2"/>
  <c r="E28" i="2"/>
  <c r="E30" i="2"/>
  <c r="E17" i="2"/>
  <c r="E19" i="2"/>
  <c r="E21" i="2"/>
  <c r="E23" i="2"/>
  <c r="E25" i="2"/>
  <c r="E27" i="2"/>
  <c r="E29" i="2"/>
  <c r="E15" i="2"/>
  <c r="B10" i="2"/>
  <c r="F25" i="2"/>
  <c r="B25" i="2" s="1"/>
  <c r="F19" i="2"/>
  <c r="B19" i="2" s="1"/>
  <c r="F27" i="2"/>
  <c r="F16" i="2"/>
  <c r="B16" i="2" s="1"/>
  <c r="F20" i="2"/>
  <c r="B20" i="2" s="1"/>
  <c r="F24" i="2"/>
  <c r="B24" i="2" s="1"/>
  <c r="F28" i="2"/>
  <c r="F18" i="2"/>
  <c r="B18" i="2" s="1"/>
  <c r="F22" i="2"/>
  <c r="B22" i="2" s="1"/>
  <c r="F26" i="2"/>
  <c r="F30" i="2"/>
  <c r="F17" i="2"/>
  <c r="B17" i="2" s="1"/>
  <c r="F21" i="2"/>
  <c r="B21" i="2" s="1"/>
  <c r="F29" i="2"/>
  <c r="B29" i="2" s="1"/>
  <c r="F23" i="2"/>
  <c r="B23" i="2" s="1"/>
  <c r="F15" i="2"/>
  <c r="B15" i="2" s="1"/>
  <c r="M1" i="2"/>
  <c r="J15" i="2"/>
  <c r="J18" i="2"/>
  <c r="J26" i="2"/>
  <c r="J25" i="2"/>
  <c r="M2" i="2"/>
  <c r="M3" i="2" s="1"/>
  <c r="J21" i="2" l="1"/>
  <c r="J22" i="2"/>
  <c r="J23" i="2"/>
  <c r="J20" i="2"/>
  <c r="J28" i="2"/>
  <c r="J29" i="2"/>
  <c r="J19" i="2"/>
  <c r="J24" i="2"/>
  <c r="J16" i="2"/>
  <c r="B26" i="2"/>
  <c r="B30" i="2"/>
  <c r="B28" i="2"/>
  <c r="M4" i="2"/>
  <c r="M5" i="2" s="1"/>
  <c r="M18" i="2" s="1"/>
  <c r="J27" i="2"/>
  <c r="J17" i="2"/>
  <c r="J30" i="2"/>
</calcChain>
</file>

<file path=xl/sharedStrings.xml><?xml version="1.0" encoding="utf-8"?>
<sst xmlns="http://schemas.openxmlformats.org/spreadsheetml/2006/main" count="47" uniqueCount="47">
  <si>
    <t>平均獲得枚数</t>
    <rPh sb="0" eb="2">
      <t>ヘイキン</t>
    </rPh>
    <rPh sb="2" eb="4">
      <t>カクトク</t>
    </rPh>
    <rPh sb="4" eb="6">
      <t>マイスウ</t>
    </rPh>
    <phoneticPr fontId="1"/>
  </si>
  <si>
    <t>機械割（%）</t>
    <rPh sb="0" eb="2">
      <t>キカイ</t>
    </rPh>
    <rPh sb="2" eb="3">
      <t>ワリ</t>
    </rPh>
    <phoneticPr fontId="1"/>
  </si>
  <si>
    <t>1k当たりの回転数（回）</t>
    <rPh sb="2" eb="3">
      <t>ア</t>
    </rPh>
    <rPh sb="6" eb="9">
      <t>カイテンスウ</t>
    </rPh>
    <rPh sb="10" eb="11">
      <t>カイ</t>
    </rPh>
    <phoneticPr fontId="1"/>
  </si>
  <si>
    <t>純増（枚）</t>
    <rPh sb="0" eb="2">
      <t>ジュンゾウ</t>
    </rPh>
    <rPh sb="3" eb="4">
      <t>マイ</t>
    </rPh>
    <phoneticPr fontId="1"/>
  </si>
  <si>
    <t>初当たり確率（1/ｎ）</t>
    <rPh sb="0" eb="1">
      <t>ハツ</t>
    </rPh>
    <rPh sb="1" eb="2">
      <t>ア</t>
    </rPh>
    <rPh sb="4" eb="6">
      <t>カクリツ</t>
    </rPh>
    <phoneticPr fontId="1"/>
  </si>
  <si>
    <t>AT機用</t>
    <rPh sb="2" eb="3">
      <t>キ</t>
    </rPh>
    <rPh sb="3" eb="4">
      <t>ヨウ</t>
    </rPh>
    <phoneticPr fontId="1"/>
  </si>
  <si>
    <t>Aタイプ</t>
    <phoneticPr fontId="1"/>
  </si>
  <si>
    <t>①ボーナス平均獲得枚数</t>
    <rPh sb="5" eb="7">
      <t>ヘイキン</t>
    </rPh>
    <rPh sb="7" eb="9">
      <t>カクトク</t>
    </rPh>
    <rPh sb="9" eb="11">
      <t>マイスウ</t>
    </rPh>
    <phoneticPr fontId="1"/>
  </si>
  <si>
    <t>②天井到達率</t>
    <rPh sb="1" eb="3">
      <t>テンジョウ</t>
    </rPh>
    <rPh sb="3" eb="5">
      <t>トウタツ</t>
    </rPh>
    <rPh sb="5" eb="6">
      <t>リツ</t>
    </rPh>
    <phoneticPr fontId="1"/>
  </si>
  <si>
    <t>③平均投資枚数</t>
    <rPh sb="1" eb="3">
      <t>ヘイキン</t>
    </rPh>
    <rPh sb="3" eb="5">
      <t>トウシ</t>
    </rPh>
    <rPh sb="5" eb="7">
      <t>マイスウ</t>
    </rPh>
    <phoneticPr fontId="1"/>
  </si>
  <si>
    <t>④RT純増</t>
    <rPh sb="3" eb="5">
      <t>ジュンゾウ</t>
    </rPh>
    <phoneticPr fontId="1"/>
  </si>
  <si>
    <t>⑤平均獲得枚数</t>
    <rPh sb="1" eb="3">
      <t>ヘイキン</t>
    </rPh>
    <rPh sb="3" eb="5">
      <t>カクトク</t>
    </rPh>
    <rPh sb="5" eb="7">
      <t>マイスウ</t>
    </rPh>
    <phoneticPr fontId="1"/>
  </si>
  <si>
    <t>BIG確率(1/n)</t>
    <rPh sb="3" eb="5">
      <t>カクリツ</t>
    </rPh>
    <phoneticPr fontId="1"/>
  </si>
  <si>
    <t>REG確率(1/n)</t>
    <rPh sb="3" eb="5">
      <t>カクリツ</t>
    </rPh>
    <phoneticPr fontId="1"/>
  </si>
  <si>
    <t>BIG+REG合算(1/n)</t>
    <rPh sb="7" eb="9">
      <t>ガッサン</t>
    </rPh>
    <phoneticPr fontId="1"/>
  </si>
  <si>
    <t>BIG獲得枚数</t>
    <rPh sb="3" eb="5">
      <t>カクトク</t>
    </rPh>
    <rPh sb="5" eb="7">
      <t>マイスウ</t>
    </rPh>
    <phoneticPr fontId="1"/>
  </si>
  <si>
    <t>REG獲得枚数</t>
    <rPh sb="3" eb="5">
      <t>カクトク</t>
    </rPh>
    <rPh sb="5" eb="7">
      <t>マイスウ</t>
    </rPh>
    <phoneticPr fontId="1"/>
  </si>
  <si>
    <t>RT純増</t>
    <rPh sb="2" eb="4">
      <t>ジュンゾウ</t>
    </rPh>
    <phoneticPr fontId="1"/>
  </si>
  <si>
    <t>期待値</t>
    <phoneticPr fontId="1"/>
  </si>
  <si>
    <t>天井までのゲーム数</t>
    <rPh sb="0" eb="2">
      <t>テンジョウ</t>
    </rPh>
    <rPh sb="8" eb="9">
      <t>スウ</t>
    </rPh>
    <phoneticPr fontId="1"/>
  </si>
  <si>
    <t>天井獲得枚数</t>
    <rPh sb="0" eb="2">
      <t>テンジョウ</t>
    </rPh>
    <rPh sb="2" eb="4">
      <t>カクトク</t>
    </rPh>
    <rPh sb="4" eb="6">
      <t>マイスウ</t>
    </rPh>
    <phoneticPr fontId="1"/>
  </si>
  <si>
    <t>AT1回の平均消化ゲーム数</t>
    <rPh sb="3" eb="4">
      <t>カイ</t>
    </rPh>
    <rPh sb="5" eb="7">
      <t>ヘイキン</t>
    </rPh>
    <rPh sb="7" eb="9">
      <t>ショウカ</t>
    </rPh>
    <rPh sb="12" eb="13">
      <t>スウ</t>
    </rPh>
    <phoneticPr fontId="1"/>
  </si>
  <si>
    <t>スタートゲーム数</t>
    <rPh sb="7" eb="8">
      <t>スウ</t>
    </rPh>
    <phoneticPr fontId="1"/>
  </si>
  <si>
    <t>1k当たりの回転数</t>
    <rPh sb="2" eb="3">
      <t>ア</t>
    </rPh>
    <rPh sb="6" eb="9">
      <t>カイテンスウ</t>
    </rPh>
    <phoneticPr fontId="1"/>
  </si>
  <si>
    <t>天井到達G数</t>
    <rPh sb="0" eb="2">
      <t>テンジョウ</t>
    </rPh>
    <rPh sb="2" eb="4">
      <t>トウタツ</t>
    </rPh>
    <rPh sb="5" eb="6">
      <t>スウ</t>
    </rPh>
    <phoneticPr fontId="1"/>
  </si>
  <si>
    <t>この計算式だと200G消化で初当たり当選時の平均G数が179.2Gになってしまうのでおそらく違うと思います。</t>
  </si>
  <si>
    <t>以前ロストアイランドのスレで別の方に計算式を立てていただいたのですが、それによると初当たり確率1/889.6をnゲーム消化した際の当選時平均G数は</t>
  </si>
  <si>
    <t>　n=100…49.56G</t>
  </si>
  <si>
    <t>　n=200…96.75G</t>
  </si>
  <si>
    <t>となります。（当選時平均なのであくまで当たった場合のみに限定したG数です）</t>
  </si>
  <si>
    <t>まあだいたい消化G数の半分付近ですね。鉄拳チャンスの場合20G+前兆やら対決演出やらが付いてきますので上記の数字に30Gほど足してやればそこそこ正確な数字になると思います。</t>
  </si>
  <si>
    <t>▼とむさん：</t>
  </si>
  <si>
    <t>&gt;その値はどういった計算を行えば出てくるのでしょうか</t>
  </si>
  <si>
    <t>私もいただいた式をエクセル用に変形しただけで満足してしまって仔細はあまり覚えていないのですがｗ</t>
  </si>
  <si>
    <t>A=抽選確率分母、B=抽選G数として、</t>
  </si>
  <si>
    <t>↑の式をエクセルにぶち込んで値を代入してやれば出てきます。</t>
  </si>
  <si>
    <t>円</t>
    <rPh sb="0" eb="1">
      <t>エン</t>
    </rPh>
    <phoneticPr fontId="1"/>
  </si>
  <si>
    <t>設定1</t>
  </si>
  <si>
    <t>1/285.8</t>
  </si>
  <si>
    <t>投資枚数（天井まで＊天井到達確率）</t>
    <rPh sb="0" eb="2">
      <t>トウシ</t>
    </rPh>
    <rPh sb="2" eb="4">
      <t>マイスウ</t>
    </rPh>
    <rPh sb="5" eb="7">
      <t>テンジョウ</t>
    </rPh>
    <rPh sb="10" eb="12">
      <t>テンジョウ</t>
    </rPh>
    <rPh sb="12" eb="14">
      <t>トウタツ</t>
    </rPh>
    <rPh sb="14" eb="16">
      <t>カクリツ</t>
    </rPh>
    <phoneticPr fontId="1"/>
  </si>
  <si>
    <t>当たった時の平均投資枚数</t>
    <rPh sb="0" eb="1">
      <t>ア</t>
    </rPh>
    <rPh sb="4" eb="5">
      <t>トキ</t>
    </rPh>
    <rPh sb="6" eb="8">
      <t>ヘイキン</t>
    </rPh>
    <rPh sb="8" eb="10">
      <t>トウシ</t>
    </rPh>
    <rPh sb="10" eb="12">
      <t>マイスウ</t>
    </rPh>
    <phoneticPr fontId="1"/>
  </si>
  <si>
    <t>天井での投資枚数</t>
    <rPh sb="0" eb="2">
      <t>テンジョウ</t>
    </rPh>
    <rPh sb="4" eb="6">
      <t>トウシ</t>
    </rPh>
    <rPh sb="6" eb="8">
      <t>マイスウ</t>
    </rPh>
    <phoneticPr fontId="1"/>
  </si>
  <si>
    <t>はずれ確率</t>
    <rPh sb="3" eb="5">
      <t>カクリツ</t>
    </rPh>
    <phoneticPr fontId="1"/>
  </si>
  <si>
    <t>天井到達確率</t>
    <rPh sb="0" eb="2">
      <t>テンジョウ</t>
    </rPh>
    <rPh sb="2" eb="4">
      <t>トウタツ</t>
    </rPh>
    <rPh sb="4" eb="6">
      <t>カクリツ</t>
    </rPh>
    <phoneticPr fontId="1"/>
  </si>
  <si>
    <t>当選時獲得枚</t>
    <rPh sb="0" eb="2">
      <t>トウセン</t>
    </rPh>
    <rPh sb="2" eb="3">
      <t>ジ</t>
    </rPh>
    <rPh sb="3" eb="5">
      <t>カクトク</t>
    </rPh>
    <rPh sb="5" eb="6">
      <t>マイ</t>
    </rPh>
    <phoneticPr fontId="1"/>
  </si>
  <si>
    <t>平均当選時G数</t>
    <rPh sb="0" eb="2">
      <t>ヘイキン</t>
    </rPh>
    <rPh sb="2" eb="4">
      <t>トウセン</t>
    </rPh>
    <rPh sb="4" eb="5">
      <t>ジ</t>
    </rPh>
    <rPh sb="6" eb="7">
      <t>スウ</t>
    </rPh>
    <phoneticPr fontId="1"/>
  </si>
  <si>
    <t>消化ゲーム数</t>
    <rPh sb="0" eb="2">
      <t>ショウカ</t>
    </rPh>
    <rPh sb="5" eb="6">
      <t>スウ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</si>
</sst>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6">
    <font>
      <sz val="11"/>
      <color theme="1"/>
      <name val="ＭＳ Ｐゴシック"/>
      <family val="2"/>
      <charset val="128"/>
      <scheme val="minor"/>
    </font>
    <font>
      <sz val="6"/>
      <name val="ＭＳ Ｐゴシック"/>
      <family val="2"/>
      <charset val="128"/>
      <scheme val="minor"/>
    </font>
    <font>
      <sz val="10"/>
      <color rgb="FF000000"/>
      <name val="ＭＳ Ｐゴシック"/>
      <family val="3"/>
      <charset val="128"/>
      <scheme val="minor"/>
    </font>
    <font>
      <sz val="10"/>
      <color rgb="FF008000"/>
      <name val="ＭＳ Ｐゴシック"/>
      <family val="3"/>
      <charset val="128"/>
      <scheme val="minor"/>
    </font>
    <font>
      <sz val="11"/>
      <color rgb="FFFF0000"/>
      <name val="ＭＳ Ｐゴシック"/>
      <family val="2"/>
      <charset val="128"/>
      <scheme val="minor"/>
    </font>
    <font>
      <sz val="11"/>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center"/>
    </xf>
  </cellStyleXfs>
  <cellXfs count="12">
    <xf numFmtId="0" fontId="0" fillId="0" borderId="0" xfId="0">
      <alignment vertical="center"/>
    </xf>
    <xf numFmtId="0" fontId="0" fillId="2" borderId="0" xfId="0" applyFill="1">
      <alignment vertical="center"/>
    </xf>
    <xf numFmtId="0" fontId="0" fillId="0" borderId="0" xfId="0" applyFill="1">
      <alignment vertical="center"/>
    </xf>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0" fillId="0" borderId="1" xfId="0" applyBorder="1">
      <alignment vertical="center"/>
    </xf>
    <xf numFmtId="0" fontId="0" fillId="0" borderId="2" xfId="0" applyBorder="1" applyAlignment="1">
      <alignment vertical="center" wrapText="1"/>
    </xf>
    <xf numFmtId="10" fontId="0" fillId="0" borderId="2" xfId="0" applyNumberFormat="1" applyBorder="1" applyAlignment="1">
      <alignment vertical="center" wrapText="1"/>
    </xf>
    <xf numFmtId="5" fontId="4" fillId="0" borderId="1" xfId="0" applyNumberFormat="1" applyFont="1" applyBorder="1">
      <alignment vertical="center"/>
    </xf>
    <xf numFmtId="0" fontId="5" fillId="0" borderId="1" xfId="0" applyNumberFormat="1" applyFont="1" applyBorder="1">
      <alignment vertical="center"/>
    </xf>
    <xf numFmtId="0" fontId="0" fillId="0" borderId="1" xfId="0"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abSelected="1" workbookViewId="0">
      <selection activeCell="C7" sqref="C7"/>
    </sheetView>
  </sheetViews>
  <sheetFormatPr defaultRowHeight="13.5"/>
  <cols>
    <col min="1" max="1" width="18" customWidth="1"/>
    <col min="2" max="2" width="20.75" bestFit="1" customWidth="1"/>
    <col min="3" max="4" width="20.75" customWidth="1"/>
    <col min="5" max="5" width="12.75" bestFit="1" customWidth="1"/>
    <col min="6" max="10" width="9" style="2"/>
    <col min="12" max="12" width="22.875" bestFit="1" customWidth="1"/>
    <col min="14" max="14" width="18.625" bestFit="1" customWidth="1"/>
  </cols>
  <sheetData>
    <row r="1" spans="1:16">
      <c r="A1" t="s">
        <v>5</v>
      </c>
      <c r="E1" s="2"/>
      <c r="K1" t="s">
        <v>6</v>
      </c>
      <c r="L1" t="s">
        <v>7</v>
      </c>
      <c r="M1">
        <f>((M12)/M10)*M13+((M12)/M11)*M14</f>
        <v>289.1729530818767</v>
      </c>
      <c r="N1" s="1" t="s">
        <v>19</v>
      </c>
      <c r="O1" s="1"/>
      <c r="P1" s="1">
        <v>900</v>
      </c>
    </row>
    <row r="2" spans="1:16">
      <c r="A2" s="1" t="s">
        <v>1</v>
      </c>
      <c r="B2" s="1">
        <v>97.1</v>
      </c>
      <c r="C2" s="2"/>
      <c r="D2" s="2"/>
      <c r="E2" s="2"/>
      <c r="L2" t="s">
        <v>8</v>
      </c>
      <c r="M2">
        <f>(1-1/M12)^P1</f>
        <v>3.2971336123191752E-2</v>
      </c>
    </row>
    <row r="3" spans="1:16">
      <c r="A3" s="1" t="s">
        <v>4</v>
      </c>
      <c r="B3" s="1">
        <v>497.8</v>
      </c>
      <c r="C3" s="2" t="s">
        <v>42</v>
      </c>
      <c r="D3" s="2">
        <f>1-1/B3</f>
        <v>0.99799116110887909</v>
      </c>
      <c r="L3" t="s">
        <v>9</v>
      </c>
      <c r="M3">
        <f>(M12*(1-M2)/M15)*50</f>
        <v>296.53399484619604</v>
      </c>
    </row>
    <row r="4" spans="1:16">
      <c r="A4" s="1" t="s">
        <v>2</v>
      </c>
      <c r="B4" s="1">
        <v>49</v>
      </c>
      <c r="C4" s="2"/>
      <c r="D4" s="2"/>
      <c r="E4" s="2"/>
      <c r="L4" t="s">
        <v>10</v>
      </c>
      <c r="M4">
        <f>M16*M12*M2</f>
        <v>2.6139629779842513</v>
      </c>
    </row>
    <row r="5" spans="1:16">
      <c r="A5" s="1" t="s">
        <v>3</v>
      </c>
      <c r="B5" s="1">
        <v>2.8</v>
      </c>
      <c r="C5" s="2"/>
      <c r="D5" s="2"/>
      <c r="E5" s="2"/>
      <c r="L5" t="s">
        <v>11</v>
      </c>
      <c r="M5">
        <f>M1+M4-M3</f>
        <v>-4.7470787863350665</v>
      </c>
    </row>
    <row r="6" spans="1:16">
      <c r="A6" s="1" t="s">
        <v>20</v>
      </c>
      <c r="B6" s="1">
        <v>450.64829730000002</v>
      </c>
      <c r="C6" s="2"/>
      <c r="D6" s="2"/>
      <c r="E6" s="2"/>
    </row>
    <row r="7" spans="1:16">
      <c r="A7" s="1" t="s">
        <v>24</v>
      </c>
      <c r="B7" s="1">
        <v>2000</v>
      </c>
      <c r="C7" s="2"/>
      <c r="D7" s="2"/>
      <c r="E7" s="2"/>
    </row>
    <row r="8" spans="1:16">
      <c r="A8" s="2"/>
      <c r="B8" s="2"/>
      <c r="C8" s="2"/>
      <c r="D8" s="2"/>
      <c r="E8" s="2"/>
    </row>
    <row r="9" spans="1:16">
      <c r="A9" t="s">
        <v>21</v>
      </c>
      <c r="B9">
        <f>(B3/B4*50+3*B3*(B2*0.01-1))/(3*(1-B2*0.01)+B5)</f>
        <v>160.94582046188754</v>
      </c>
      <c r="E9" s="2"/>
    </row>
    <row r="10" spans="1:16">
      <c r="A10" t="s">
        <v>0</v>
      </c>
      <c r="B10">
        <f>B9*B5</f>
        <v>450.64829729328505</v>
      </c>
      <c r="E10" s="2"/>
      <c r="L10" s="1" t="s">
        <v>12</v>
      </c>
      <c r="M10" s="1">
        <v>368.2</v>
      </c>
    </row>
    <row r="11" spans="1:16">
      <c r="L11" s="1" t="s">
        <v>13</v>
      </c>
      <c r="M11" s="1">
        <v>936.2</v>
      </c>
    </row>
    <row r="12" spans="1:16">
      <c r="L12" t="s">
        <v>14</v>
      </c>
      <c r="M12">
        <f>1/(1/M10+1/M11)</f>
        <v>264.26620668506592</v>
      </c>
    </row>
    <row r="13" spans="1:16">
      <c r="L13" s="1" t="s">
        <v>15</v>
      </c>
      <c r="M13" s="1">
        <v>362</v>
      </c>
    </row>
    <row r="14" spans="1:16">
      <c r="A14" s="6" t="s">
        <v>22</v>
      </c>
      <c r="B14" s="6" t="s">
        <v>36</v>
      </c>
      <c r="C14" s="6" t="s">
        <v>43</v>
      </c>
      <c r="D14" s="11" t="s">
        <v>45</v>
      </c>
      <c r="E14" s="11" t="s">
        <v>46</v>
      </c>
      <c r="F14" s="2" t="s">
        <v>44</v>
      </c>
      <c r="G14" s="2" t="s">
        <v>41</v>
      </c>
      <c r="H14" s="2" t="s">
        <v>39</v>
      </c>
      <c r="I14" s="2" t="s">
        <v>40</v>
      </c>
      <c r="L14" s="1" t="s">
        <v>16</v>
      </c>
      <c r="M14" s="1">
        <v>104</v>
      </c>
    </row>
    <row r="15" spans="1:16">
      <c r="A15" s="6">
        <v>0</v>
      </c>
      <c r="B15" s="9">
        <f>SUM(F15:I15)*20</f>
        <v>-964.14344638549323</v>
      </c>
      <c r="C15" s="10">
        <f t="shared" ref="C15:C30" si="0">$D$3^($B$7-A15)</f>
        <v>1.7922136961788682E-2</v>
      </c>
      <c r="D15" s="10">
        <f>1+D$3*(1-D$3^(B$7-A15-1))/(1-D$3)-(B$7-A15)*D$3^(B$7-A15)</f>
        <v>453.03408629684913</v>
      </c>
      <c r="E15" s="6">
        <f>D15+$B$9+C15*($B$7-A15)</f>
        <v>649.82418068231402</v>
      </c>
      <c r="F15" s="2">
        <f>B$10*(1-C15)</f>
        <v>442.57171678759795</v>
      </c>
      <c r="G15" s="2">
        <f>B$6*C15</f>
        <v>8.0765805058074651</v>
      </c>
      <c r="H15" s="2">
        <f>-(B$7-A15)*C15/$B$4*50</f>
        <v>-36.575789717936082</v>
      </c>
      <c r="I15" s="2">
        <f>-D15/B$4*50</f>
        <v>-462.27967989474399</v>
      </c>
      <c r="J15" s="2">
        <f t="shared" ref="J15:J30" si="1">SUM(F15:I15)*20</f>
        <v>-964.14344638549323</v>
      </c>
      <c r="L15" s="1" t="s">
        <v>23</v>
      </c>
      <c r="M15" s="1">
        <v>43.09</v>
      </c>
    </row>
    <row r="16" spans="1:16">
      <c r="A16" s="6">
        <v>100</v>
      </c>
      <c r="B16" s="9">
        <f t="shared" ref="B16:B30" si="2">SUM(F16:I16)*20</f>
        <v>-923.59007118516388</v>
      </c>
      <c r="C16" s="10">
        <f t="shared" si="0"/>
        <v>2.1913931627899261E-2</v>
      </c>
      <c r="D16" s="10">
        <f t="shared" ref="D16:D30" si="3">1+D$3*(1-D$3^(B$7-A16-1))/(1-D$3)-(B$7-A16)*D$3^(B$7-A16)</f>
        <v>445.254774742628</v>
      </c>
      <c r="E16" s="6">
        <f t="shared" ref="E16:E30" si="4">D16+$B$9+C16*($B$7-A16)</f>
        <v>647.83706529752419</v>
      </c>
      <c r="F16" s="2">
        <f t="shared" ref="F16:F30" si="5">B$10*(1-C16)</f>
        <v>440.77282131817083</v>
      </c>
      <c r="G16" s="2">
        <f t="shared" ref="G16:G30" si="6">B$6*C16</f>
        <v>9.8754759752614198</v>
      </c>
      <c r="H16" s="2">
        <f t="shared" ref="H16:H30" si="7">-(B$7-A16)*C16/$B$4*50</f>
        <v>-42.486193972457755</v>
      </c>
      <c r="I16" s="2">
        <f t="shared" ref="I16:I30" si="8">-D16/B$4*50</f>
        <v>-454.34160688023263</v>
      </c>
      <c r="J16" s="2">
        <f t="shared" si="1"/>
        <v>-923.59007118516388</v>
      </c>
      <c r="K16" t="e">
        <f>(A-(A+B)*((A-1)/A)^B)/(1-((A-1)/A)^B)</f>
        <v>#NAME?</v>
      </c>
      <c r="L16" s="1" t="s">
        <v>17</v>
      </c>
      <c r="M16" s="1">
        <v>0.3</v>
      </c>
    </row>
    <row r="17" spans="1:13">
      <c r="A17" s="6">
        <v>200</v>
      </c>
      <c r="B17" s="9">
        <f t="shared" si="2"/>
        <v>-874.00424928706798</v>
      </c>
      <c r="C17" s="10">
        <f t="shared" si="0"/>
        <v>2.6794818074212287E-2</v>
      </c>
      <c r="D17" s="10">
        <f t="shared" si="3"/>
        <v>436.23086702907989</v>
      </c>
      <c r="E17" s="6">
        <f t="shared" si="4"/>
        <v>645.40736002454958</v>
      </c>
      <c r="F17" s="2">
        <f t="shared" si="5"/>
        <v>438.57325815185794</v>
      </c>
      <c r="G17" s="2">
        <f t="shared" si="6"/>
        <v>12.075039141607032</v>
      </c>
      <c r="H17" s="2">
        <f t="shared" si="7"/>
        <v>-49.214971973042978</v>
      </c>
      <c r="I17" s="2">
        <f t="shared" si="8"/>
        <v>-445.1335377847754</v>
      </c>
      <c r="J17" s="2">
        <f t="shared" si="1"/>
        <v>-874.00424928706798</v>
      </c>
    </row>
    <row r="18" spans="1:13">
      <c r="A18" s="6">
        <v>300</v>
      </c>
      <c r="B18" s="9">
        <f t="shared" si="2"/>
        <v>-813.37418529944898</v>
      </c>
      <c r="C18" s="10">
        <f t="shared" si="0"/>
        <v>3.2762823569097703E-2</v>
      </c>
      <c r="D18" s="10">
        <f t="shared" si="3"/>
        <v>425.7938663598419</v>
      </c>
      <c r="E18" s="6">
        <f t="shared" si="4"/>
        <v>642.43648688919563</v>
      </c>
      <c r="F18" s="2">
        <f t="shared" si="5"/>
        <v>435.88378663735091</v>
      </c>
      <c r="G18" s="2">
        <f t="shared" si="6"/>
        <v>14.76451065615419</v>
      </c>
      <c r="H18" s="2">
        <f t="shared" si="7"/>
        <v>-56.833469456598053</v>
      </c>
      <c r="I18" s="2">
        <f t="shared" si="8"/>
        <v>-434.48353710187951</v>
      </c>
      <c r="J18" s="2">
        <f t="shared" si="1"/>
        <v>-813.37418529944898</v>
      </c>
      <c r="L18" t="s">
        <v>18</v>
      </c>
      <c r="M18">
        <f>M5*20</f>
        <v>-94.94157572670133</v>
      </c>
    </row>
    <row r="19" spans="1:13">
      <c r="A19" s="6">
        <v>400</v>
      </c>
      <c r="B19" s="9">
        <f t="shared" si="2"/>
        <v>-739.23999696841634</v>
      </c>
      <c r="C19" s="10">
        <f t="shared" si="0"/>
        <v>4.0060081962373234E-2</v>
      </c>
      <c r="D19" s="10">
        <f t="shared" si="3"/>
        <v>413.76196005933821</v>
      </c>
      <c r="E19" s="6">
        <f t="shared" si="4"/>
        <v>638.80391166102288</v>
      </c>
      <c r="F19" s="2">
        <f t="shared" si="5"/>
        <v>432.59528956751211</v>
      </c>
      <c r="G19" s="2">
        <f t="shared" si="6"/>
        <v>18.05300772604194</v>
      </c>
      <c r="H19" s="2">
        <f t="shared" si="7"/>
        <v>-65.404215448772632</v>
      </c>
      <c r="I19" s="2">
        <f t="shared" si="8"/>
        <v>-422.20608169320224</v>
      </c>
      <c r="J19" s="2">
        <f t="shared" si="1"/>
        <v>-739.23999696841634</v>
      </c>
    </row>
    <row r="20" spans="1:13">
      <c r="A20" s="6">
        <v>500</v>
      </c>
      <c r="B20" s="9">
        <f t="shared" si="2"/>
        <v>-648.59391286361529</v>
      </c>
      <c r="C20" s="10">
        <f t="shared" si="0"/>
        <v>4.8982657537054837E-2</v>
      </c>
      <c r="D20" s="10">
        <f t="shared" si="3"/>
        <v>399.94244677247661</v>
      </c>
      <c r="E20" s="6">
        <f t="shared" si="4"/>
        <v>634.36225353994632</v>
      </c>
      <c r="F20" s="2">
        <f t="shared" si="5"/>
        <v>428.57434607731119</v>
      </c>
      <c r="G20" s="2">
        <f t="shared" si="6"/>
        <v>22.073951216302774</v>
      </c>
      <c r="H20" s="2">
        <f t="shared" si="7"/>
        <v>-74.97345541385944</v>
      </c>
      <c r="I20" s="2">
        <f t="shared" si="8"/>
        <v>-408.10453752293529</v>
      </c>
      <c r="J20" s="2">
        <f t="shared" si="1"/>
        <v>-648.59391286361529</v>
      </c>
    </row>
    <row r="21" spans="1:13">
      <c r="A21" s="6">
        <v>600</v>
      </c>
      <c r="B21" s="9">
        <f t="shared" si="2"/>
        <v>-537.75824111059819</v>
      </c>
      <c r="C21" s="10">
        <f t="shared" si="0"/>
        <v>5.9892556926018227E-2</v>
      </c>
      <c r="D21" s="10">
        <f t="shared" si="3"/>
        <v>384.1359054658073</v>
      </c>
      <c r="E21" s="6">
        <f t="shared" si="4"/>
        <v>628.93130562412034</v>
      </c>
      <c r="F21" s="2">
        <f t="shared" si="5"/>
        <v>423.65781849403379</v>
      </c>
      <c r="G21" s="2">
        <f t="shared" si="6"/>
        <v>26.990478799653438</v>
      </c>
      <c r="H21" s="2">
        <f t="shared" si="7"/>
        <v>-85.560795608597473</v>
      </c>
      <c r="I21" s="2">
        <f t="shared" si="8"/>
        <v>-391.97541374061967</v>
      </c>
      <c r="J21" s="2">
        <f t="shared" si="1"/>
        <v>-537.75824111059819</v>
      </c>
    </row>
    <row r="22" spans="1:13">
      <c r="A22" s="6">
        <v>700</v>
      </c>
      <c r="B22" s="9">
        <f t="shared" si="2"/>
        <v>-402.23615811868854</v>
      </c>
      <c r="C22" s="10">
        <f t="shared" si="0"/>
        <v>7.3232416440915202E-2</v>
      </c>
      <c r="D22" s="10">
        <f t="shared" si="3"/>
        <v>366.14276172252727</v>
      </c>
      <c r="E22" s="6">
        <f t="shared" si="4"/>
        <v>622.29072355760457</v>
      </c>
      <c r="F22" s="2">
        <f t="shared" si="5"/>
        <v>417.64623351751385</v>
      </c>
      <c r="G22" s="2">
        <f t="shared" si="6"/>
        <v>33.002063776262965</v>
      </c>
      <c r="H22" s="2">
        <f t="shared" si="7"/>
        <v>-97.145042217540563</v>
      </c>
      <c r="I22" s="2">
        <f t="shared" si="8"/>
        <v>-373.61506298217068</v>
      </c>
      <c r="J22" s="2">
        <f t="shared" si="1"/>
        <v>-402.23615811868854</v>
      </c>
    </row>
    <row r="23" spans="1:13">
      <c r="A23" s="6">
        <v>800</v>
      </c>
      <c r="B23" s="9">
        <f t="shared" si="2"/>
        <v>-236.52926350633948</v>
      </c>
      <c r="C23" s="10">
        <f t="shared" si="0"/>
        <v>8.9543460707483438E-2</v>
      </c>
      <c r="D23" s="10">
        <f t="shared" si="3"/>
        <v>345.77311241083913</v>
      </c>
      <c r="E23" s="6">
        <f t="shared" si="4"/>
        <v>614.17108572170673</v>
      </c>
      <c r="F23" s="2">
        <f t="shared" si="5"/>
        <v>410.29568919170947</v>
      </c>
      <c r="G23" s="2">
        <f t="shared" si="6"/>
        <v>40.352608102176866</v>
      </c>
      <c r="H23" s="2">
        <f t="shared" si="7"/>
        <v>-109.64505392753074</v>
      </c>
      <c r="I23" s="2">
        <f t="shared" si="8"/>
        <v>-352.82970654167258</v>
      </c>
      <c r="J23" s="2">
        <f t="shared" si="1"/>
        <v>-236.52926350633948</v>
      </c>
    </row>
    <row r="24" spans="1:13">
      <c r="A24" s="6">
        <v>900</v>
      </c>
      <c r="B24" s="9">
        <f t="shared" si="2"/>
        <v>-33.914499064537722</v>
      </c>
      <c r="C24" s="10">
        <f t="shared" si="0"/>
        <v>0.10948746122479344</v>
      </c>
      <c r="D24" s="10">
        <f t="shared" si="3"/>
        <v>322.86093445502945</v>
      </c>
      <c r="E24" s="6">
        <f t="shared" si="4"/>
        <v>604.24296226418983</v>
      </c>
      <c r="F24" s="2">
        <f t="shared" si="5"/>
        <v>401.30795931736731</v>
      </c>
      <c r="G24" s="2">
        <f t="shared" si="6"/>
        <v>49.34033797665294</v>
      </c>
      <c r="H24" s="2">
        <f t="shared" si="7"/>
        <v>-122.89408912987018</v>
      </c>
      <c r="I24" s="2">
        <f t="shared" si="8"/>
        <v>-329.44993311737699</v>
      </c>
      <c r="J24" s="2">
        <f t="shared" si="1"/>
        <v>-33.914499064537722</v>
      </c>
    </row>
    <row r="25" spans="1:13">
      <c r="A25" s="6">
        <v>1000</v>
      </c>
      <c r="B25" s="9">
        <f t="shared" si="2"/>
        <v>213.82861908298651</v>
      </c>
      <c r="C25" s="10">
        <f t="shared" si="0"/>
        <v>0.13387358575084435</v>
      </c>
      <c r="D25" s="10">
        <f t="shared" si="3"/>
        <v>297.28414326238965</v>
      </c>
      <c r="E25" s="6">
        <f t="shared" si="4"/>
        <v>592.10354947512155</v>
      </c>
      <c r="F25" s="2">
        <f t="shared" si="5"/>
        <v>390.31839382212041</v>
      </c>
      <c r="G25" s="2">
        <f t="shared" si="6"/>
        <v>60.329903472063549</v>
      </c>
      <c r="H25" s="2">
        <f t="shared" si="7"/>
        <v>-136.60569974575952</v>
      </c>
      <c r="I25" s="2">
        <f t="shared" si="8"/>
        <v>-303.35116659427513</v>
      </c>
      <c r="J25" s="2">
        <f t="shared" si="1"/>
        <v>213.82861908298651</v>
      </c>
    </row>
    <row r="26" spans="1:13">
      <c r="A26" s="6">
        <v>1100</v>
      </c>
      <c r="B26" s="9">
        <f t="shared" si="2"/>
        <v>516.75152185638808</v>
      </c>
      <c r="C26" s="10">
        <f t="shared" si="0"/>
        <v>0.16369122784746984</v>
      </c>
      <c r="D26" s="10">
        <f t="shared" si="3"/>
        <v>268.99240171481074</v>
      </c>
      <c r="E26" s="6">
        <f t="shared" si="4"/>
        <v>577.26032723942114</v>
      </c>
      <c r="F26" s="2">
        <f t="shared" si="5"/>
        <v>376.88112418197562</v>
      </c>
      <c r="G26" s="2">
        <f t="shared" si="6"/>
        <v>73.767173112408628</v>
      </c>
      <c r="H26" s="2">
        <f t="shared" si="7"/>
        <v>-150.32867863543149</v>
      </c>
      <c r="I26" s="2">
        <f t="shared" si="8"/>
        <v>-274.48204256613337</v>
      </c>
      <c r="J26" s="2">
        <f t="shared" si="1"/>
        <v>516.75152185638808</v>
      </c>
    </row>
    <row r="27" spans="1:13">
      <c r="A27" s="6">
        <v>1200</v>
      </c>
      <c r="B27" s="9">
        <f>SUM(F27:I27)*20</f>
        <v>887.14439375856102</v>
      </c>
      <c r="C27" s="10">
        <f t="shared" si="0"/>
        <v>0.20015014854446958</v>
      </c>
      <c r="D27" s="10">
        <f t="shared" si="3"/>
        <v>238.04513721899136</v>
      </c>
      <c r="E27" s="6">
        <f t="shared" si="4"/>
        <v>559.11107651645455</v>
      </c>
      <c r="F27" s="2">
        <f t="shared" si="5"/>
        <v>360.4509736487218</v>
      </c>
      <c r="G27" s="2">
        <f t="shared" si="6"/>
        <v>90.197323645907289</v>
      </c>
      <c r="H27" s="2">
        <f t="shared" si="7"/>
        <v>-163.38787636283229</v>
      </c>
      <c r="I27" s="2">
        <f t="shared" si="8"/>
        <v>-242.90320124386872</v>
      </c>
      <c r="J27" s="2">
        <f t="shared" si="1"/>
        <v>887.14439375856102</v>
      </c>
    </row>
    <row r="28" spans="1:13">
      <c r="A28" s="6">
        <v>1300</v>
      </c>
      <c r="B28" s="9">
        <f t="shared" si="2"/>
        <v>1340.0348100984786</v>
      </c>
      <c r="C28" s="10">
        <f t="shared" si="0"/>
        <v>0.24472955875009914</v>
      </c>
      <c r="D28" s="10">
        <f t="shared" si="3"/>
        <v>204.66293452913501</v>
      </c>
      <c r="E28" s="6">
        <f t="shared" si="4"/>
        <v>536.91944611609199</v>
      </c>
      <c r="F28" s="2">
        <f t="shared" si="5"/>
        <v>340.36133834521587</v>
      </c>
      <c r="G28" s="2">
        <f t="shared" si="6"/>
        <v>110.2869589497125</v>
      </c>
      <c r="H28" s="2">
        <f t="shared" si="7"/>
        <v>-174.80682767864221</v>
      </c>
      <c r="I28" s="2">
        <f t="shared" si="8"/>
        <v>-208.83972911136226</v>
      </c>
      <c r="J28" s="2">
        <f t="shared" si="1"/>
        <v>1340.0348100984786</v>
      </c>
    </row>
    <row r="29" spans="1:13">
      <c r="A29" s="6">
        <v>1400</v>
      </c>
      <c r="B29" s="9">
        <f t="shared" si="2"/>
        <v>1893.7974356025586</v>
      </c>
      <c r="C29" s="10">
        <f t="shared" si="0"/>
        <v>0.29923813377890768</v>
      </c>
      <c r="D29" s="10">
        <f t="shared" si="3"/>
        <v>169.29637673751861</v>
      </c>
      <c r="E29" s="6">
        <f t="shared" si="4"/>
        <v>509.78507746675075</v>
      </c>
      <c r="F29" s="2">
        <f t="shared" si="5"/>
        <v>315.79714182060007</v>
      </c>
      <c r="G29" s="2">
        <f t="shared" si="6"/>
        <v>134.85115547469437</v>
      </c>
      <c r="H29" s="2">
        <f t="shared" si="7"/>
        <v>-183.20702068096389</v>
      </c>
      <c r="I29" s="2">
        <f t="shared" si="8"/>
        <v>-172.75140483420267</v>
      </c>
      <c r="J29" s="2">
        <f t="shared" si="1"/>
        <v>1893.7974356025586</v>
      </c>
    </row>
    <row r="30" spans="1:13">
      <c r="A30" s="6">
        <v>1500</v>
      </c>
      <c r="B30" s="9">
        <f t="shared" si="2"/>
        <v>2570.8995210991297</v>
      </c>
      <c r="C30" s="10">
        <f t="shared" si="0"/>
        <v>0.36588739490565175</v>
      </c>
      <c r="D30" s="10">
        <f t="shared" si="3"/>
        <v>132.71755736314381</v>
      </c>
      <c r="E30" s="6">
        <f t="shared" si="4"/>
        <v>476.60707527785723</v>
      </c>
      <c r="F30" s="2">
        <f t="shared" si="5"/>
        <v>285.7617657779773</v>
      </c>
      <c r="G30" s="2">
        <f t="shared" si="6"/>
        <v>164.88653151776467</v>
      </c>
      <c r="H30" s="2">
        <f t="shared" si="7"/>
        <v>-186.67724229880193</v>
      </c>
      <c r="I30" s="2">
        <f t="shared" si="8"/>
        <v>-135.42607894198349</v>
      </c>
      <c r="J30" s="2">
        <f t="shared" si="1"/>
        <v>2570.8995210991297</v>
      </c>
      <c r="L30" s="4" t="s">
        <v>25</v>
      </c>
    </row>
    <row r="31" spans="1:13">
      <c r="A31" s="6">
        <v>1600</v>
      </c>
      <c r="B31" s="9">
        <f t="shared" ref="B31:B35" si="9">SUM(F31:I31)*20</f>
        <v>3398.8124445588473</v>
      </c>
      <c r="C31" s="10">
        <f t="shared" ref="C31:C35" si="10">$D$3^($B$7-A31)</f>
        <v>0.44738143518084156</v>
      </c>
      <c r="D31" s="10">
        <f t="shared" ref="D31:D35" si="11">1+D$3*(1-D$3^(B$7-A31-1))/(1-D$3)-(B$7-A31)*D$3^(B$7-A31)</f>
        <v>96.140947494643228</v>
      </c>
      <c r="E31" s="6">
        <f t="shared" ref="E31:E35" si="12">D31+$B$9+C31*($B$7-A31)</f>
        <v>436.0393420288674</v>
      </c>
      <c r="F31" s="2">
        <f t="shared" ref="F31:F35" si="13">B$10*(1-C31)</f>
        <v>249.03661528841261</v>
      </c>
      <c r="G31" s="2">
        <f t="shared" ref="G31:G35" si="14">B$6*C31</f>
        <v>201.61168200787657</v>
      </c>
      <c r="H31" s="2">
        <f t="shared" ref="H31:H35" si="15">-(B$7-A31)*C31/$B$4*50</f>
        <v>-182.60466742075167</v>
      </c>
      <c r="I31" s="2">
        <f t="shared" ref="I31:I35" si="16">-D31/B$4*50</f>
        <v>-98.103007647595135</v>
      </c>
      <c r="J31" s="2">
        <f t="shared" ref="J31:J35" si="17">SUM(F31:I31)*20</f>
        <v>3398.8124445588473</v>
      </c>
      <c r="L31" s="4" t="s">
        <v>26</v>
      </c>
    </row>
    <row r="32" spans="1:13">
      <c r="A32" s="6">
        <v>1700</v>
      </c>
      <c r="B32" s="9">
        <f t="shared" si="9"/>
        <v>4411.1262795235252</v>
      </c>
      <c r="C32" s="10">
        <f t="shared" si="10"/>
        <v>0.54702662986266737</v>
      </c>
      <c r="D32" s="10">
        <f t="shared" si="11"/>
        <v>61.382154695566243</v>
      </c>
      <c r="E32" s="6">
        <f t="shared" si="12"/>
        <v>386.43596411625401</v>
      </c>
      <c r="F32" s="2">
        <f t="shared" si="13"/>
        <v>204.13167797158994</v>
      </c>
      <c r="G32" s="2">
        <f t="shared" si="14"/>
        <v>246.5166193253684</v>
      </c>
      <c r="H32" s="2">
        <f t="shared" si="15"/>
        <v>-167.45713159061245</v>
      </c>
      <c r="I32" s="2">
        <f t="shared" si="16"/>
        <v>-62.634851730169636</v>
      </c>
      <c r="J32" s="2">
        <f t="shared" si="17"/>
        <v>4411.1262795235252</v>
      </c>
      <c r="L32" s="3"/>
    </row>
    <row r="33" spans="1:12">
      <c r="A33" s="6">
        <v>1800</v>
      </c>
      <c r="B33" s="9">
        <f t="shared" si="9"/>
        <v>5648.91261118084</v>
      </c>
      <c r="C33" s="10">
        <f t="shared" si="10"/>
        <v>0.66886578263568064</v>
      </c>
      <c r="D33" s="10">
        <f t="shared" si="11"/>
        <v>31.065456876823646</v>
      </c>
      <c r="E33" s="6">
        <f t="shared" si="12"/>
        <v>325.78443386584729</v>
      </c>
      <c r="F33" s="2">
        <f t="shared" si="13"/>
        <v>149.22507123077506</v>
      </c>
      <c r="G33" s="2">
        <f t="shared" si="14"/>
        <v>301.42322606700139</v>
      </c>
      <c r="H33" s="2">
        <f t="shared" si="15"/>
        <v>-136.5032209460573</v>
      </c>
      <c r="I33" s="2">
        <f t="shared" si="16"/>
        <v>-31.699445792677189</v>
      </c>
      <c r="J33" s="2">
        <f t="shared" si="17"/>
        <v>5648.91261118084</v>
      </c>
      <c r="L33" s="4" t="s">
        <v>27</v>
      </c>
    </row>
    <row r="34" spans="1:12">
      <c r="A34" s="6">
        <v>1900</v>
      </c>
      <c r="B34" s="9">
        <f t="shared" si="9"/>
        <v>7162.3908922428936</v>
      </c>
      <c r="C34" s="10">
        <f t="shared" si="10"/>
        <v>0.8178421501950609</v>
      </c>
      <c r="D34" s="10">
        <f t="shared" si="11"/>
        <v>8.8939626133934127</v>
      </c>
      <c r="E34" s="6">
        <f t="shared" si="12"/>
        <v>251.62399809478703</v>
      </c>
      <c r="F34" s="2">
        <f t="shared" si="13"/>
        <v>82.089124853201767</v>
      </c>
      <c r="G34" s="2">
        <f t="shared" si="14"/>
        <v>368.55917244557509</v>
      </c>
      <c r="H34" s="2">
        <f t="shared" si="15"/>
        <v>-83.453280632149074</v>
      </c>
      <c r="I34" s="2">
        <f t="shared" si="16"/>
        <v>-9.0754720544830754</v>
      </c>
      <c r="J34" s="2">
        <f t="shared" si="17"/>
        <v>7162.3908922428936</v>
      </c>
      <c r="L34" s="4" t="s">
        <v>28</v>
      </c>
    </row>
    <row r="35" spans="1:12">
      <c r="A35" s="6">
        <v>2000</v>
      </c>
      <c r="B35" s="9">
        <f t="shared" si="9"/>
        <v>9012.9659460000003</v>
      </c>
      <c r="C35" s="10">
        <f t="shared" si="10"/>
        <v>1</v>
      </c>
      <c r="D35" s="10">
        <f t="shared" si="11"/>
        <v>-1.4432899320127035E-14</v>
      </c>
      <c r="E35" s="6">
        <f t="shared" si="12"/>
        <v>160.94582046188751</v>
      </c>
      <c r="F35" s="2">
        <f t="shared" si="13"/>
        <v>0</v>
      </c>
      <c r="G35" s="2">
        <f t="shared" si="14"/>
        <v>450.64829730000002</v>
      </c>
      <c r="H35" s="2">
        <f t="shared" si="15"/>
        <v>0</v>
      </c>
      <c r="I35" s="2">
        <f t="shared" si="16"/>
        <v>1.4727448285843913E-14</v>
      </c>
      <c r="J35" s="2">
        <f t="shared" si="17"/>
        <v>9012.9659460000003</v>
      </c>
      <c r="L35" s="3"/>
    </row>
    <row r="36" spans="1:12">
      <c r="L36" s="4" t="s">
        <v>29</v>
      </c>
    </row>
    <row r="37" spans="1:12">
      <c r="L37" s="4" t="s">
        <v>30</v>
      </c>
    </row>
    <row r="39" spans="1:12">
      <c r="A39" s="7" t="s">
        <v>37</v>
      </c>
      <c r="B39" s="7" t="s">
        <v>38</v>
      </c>
      <c r="C39" s="7"/>
      <c r="D39" s="7"/>
      <c r="E39" s="8">
        <v>0.96919999999999995</v>
      </c>
    </row>
    <row r="40" spans="1:12">
      <c r="L40" s="4" t="s">
        <v>31</v>
      </c>
    </row>
    <row r="41" spans="1:12">
      <c r="L41" s="5" t="s">
        <v>32</v>
      </c>
    </row>
    <row r="42" spans="1:12">
      <c r="L42" s="4" t="s">
        <v>33</v>
      </c>
    </row>
    <row r="43" spans="1:12">
      <c r="L43" s="4" t="s">
        <v>34</v>
      </c>
    </row>
    <row r="44" spans="1:12">
      <c r="L44" s="3"/>
    </row>
    <row r="45" spans="1:12">
      <c r="L45" s="4" t="e">
        <f>(A-(A+B)*((A-1)/A)^B)/(1-((A-1)/A)^B)</f>
        <v>#NAME?</v>
      </c>
    </row>
    <row r="46" spans="1:12">
      <c r="L46" s="3"/>
    </row>
    <row r="47" spans="1:12">
      <c r="L47" s="4" t="s">
        <v>35</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Sheet2</vt:lpstr>
      <vt:lpstr>Sheet1</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dc:creator>
  <cp:lastModifiedBy>YAMADA</cp:lastModifiedBy>
  <dcterms:created xsi:type="dcterms:W3CDTF">2013-12-17T18:25:06Z</dcterms:created>
  <dcterms:modified xsi:type="dcterms:W3CDTF">2015-06-22T11:49:54Z</dcterms:modified>
</cp:coreProperties>
</file>